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1955" windowHeight="8100" activeTab="0"/>
  </bookViews>
  <sheets>
    <sheet name="Calcul de la retraite" sheetId="1" r:id="rId1"/>
    <sheet name="Table" sheetId="2" r:id="rId2"/>
    <sheet name="Constat" sheetId="3" r:id="rId3"/>
  </sheets>
  <definedNames>
    <definedName name="Congé_dispo">'Calcul de la retraite'!$B$10</definedName>
    <definedName name="Date_départ_retraite">'Calcul de la retraite'!$B$21</definedName>
    <definedName name="Début_activité">'Calcul de la retraite'!$B$8</definedName>
    <definedName name="Départ_retraite">'Calcul de la retraite'!$D$21</definedName>
    <definedName name="Durée_service_militaire">'Calcul de la retraite'!$B$6</definedName>
    <definedName name="e">'Calcul de la retraite'!$D$11</definedName>
    <definedName name="Montant_retraite_avant">'Calcul de la retraite'!$B$25</definedName>
    <definedName name="Montant_retraite_nouvelle_formule">'Calcul de la retraite'!$B$37</definedName>
    <definedName name="Nom">'Calcul de la retraite'!$B$4</definedName>
    <definedName name="Nombre_d_enfants">'Calcul de la retraite'!$B$9</definedName>
    <definedName name="Prénom">'Calcul de la retraite'!$B$3</definedName>
    <definedName name="Sexe">'Calcul de la retraite'!$B$11</definedName>
    <definedName name="Temps_partiel">'Calcul de la retraite'!$D$19</definedName>
  </definedNames>
  <calcPr fullCalcOnLoad="1"/>
</workbook>
</file>

<file path=xl/sharedStrings.xml><?xml version="1.0" encoding="utf-8"?>
<sst xmlns="http://schemas.openxmlformats.org/spreadsheetml/2006/main" count="53" uniqueCount="51">
  <si>
    <t>Ce calcul n'est qu'une approche, à faire valider par les services compétents</t>
  </si>
  <si>
    <t>Prénom :</t>
  </si>
  <si>
    <t>Roky</t>
  </si>
  <si>
    <t>Nom :</t>
  </si>
  <si>
    <t>Vabien</t>
  </si>
  <si>
    <t>Salaire hors primes :</t>
  </si>
  <si>
    <t>Durée service militaire (trim.) :</t>
  </si>
  <si>
    <t>Date de naissance :</t>
  </si>
  <si>
    <t>(format 01/01/1948)</t>
  </si>
  <si>
    <t>Date de début d'activité :</t>
  </si>
  <si>
    <t>Nombre d'enfants :</t>
  </si>
  <si>
    <t>Durée congé parental ou dispo pour élever un enfant (mois) :</t>
  </si>
  <si>
    <t>Attention, limite de 3 ans par enfant</t>
  </si>
  <si>
    <t>Sexe :</t>
  </si>
  <si>
    <t>M</t>
  </si>
  <si>
    <t>(M ou F)</t>
  </si>
  <si>
    <t>Période de temps partiel en mois à</t>
  </si>
  <si>
    <t>50% :</t>
  </si>
  <si>
    <t>60% :</t>
  </si>
  <si>
    <t>70% :</t>
  </si>
  <si>
    <t>80% :</t>
  </si>
  <si>
    <t>90% :</t>
  </si>
  <si>
    <t>Nombre de mois de TP rachetés :</t>
  </si>
  <si>
    <t>NB années au delà de 60 ans :</t>
  </si>
  <si>
    <t>Trimestrialité à déduire :</t>
  </si>
  <si>
    <t>Date de départ en retraite :</t>
  </si>
  <si>
    <t>Retraite (an mois jour) =&gt;</t>
  </si>
  <si>
    <t>Nombre de trimestre :</t>
  </si>
  <si>
    <t>% pour le calcul :</t>
  </si>
  <si>
    <t>Maxi 80% =&gt; 160 trimestres</t>
  </si>
  <si>
    <t>Montant retraite ancienne formule :</t>
  </si>
  <si>
    <t>Nombre de trimestres pour annuités :</t>
  </si>
  <si>
    <t>Nombre de trimestres pour liquidation :</t>
  </si>
  <si>
    <t>Avant décote :</t>
  </si>
  <si>
    <t>Taux de décote :</t>
  </si>
  <si>
    <t>par trimestre manquant</t>
  </si>
  <si>
    <t>Nombre de trimestres à décoter :</t>
  </si>
  <si>
    <t>Vérification maxi applicable :</t>
  </si>
  <si>
    <t>Décote réelle :</t>
  </si>
  <si>
    <t>Décote en pourcentage :</t>
  </si>
  <si>
    <t>%</t>
  </si>
  <si>
    <t>défalque 3% par année après 60 ans :</t>
  </si>
  <si>
    <t>Montant retraite nouvelle formule :</t>
  </si>
  <si>
    <t>Trimestrialités nécessaires au taux plein</t>
  </si>
  <si>
    <t>Année</t>
  </si>
  <si>
    <t>Taux par trim.</t>
  </si>
  <si>
    <t>Trim</t>
  </si>
  <si>
    <t>Décote maxi</t>
  </si>
  <si>
    <t>Taux réel %</t>
  </si>
  <si>
    <t>euros       0,5% par trimestre</t>
  </si>
  <si>
    <t>euros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</si>
</sst>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/m"/>
    <numFmt numFmtId="165" formatCode="0&quot; trim.&quot;"/>
    <numFmt numFmtId="166" formatCode="yy\ mm\ d"/>
    <numFmt numFmtId="167" formatCode="#,##0.00\ &quot;F&quot;"/>
  </numFmts>
  <fonts count="8">
    <font>
      <sz val="10"/>
      <name val="Arial"/>
      <family val="0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2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 locked="0"/>
    </xf>
    <xf numFmtId="0" fontId="3" fillId="0" borderId="1" xfId="0" applyNumberFormat="1" applyFont="1" applyBorder="1" applyAlignment="1" applyProtection="1">
      <alignment/>
      <protection locked="0"/>
    </xf>
    <xf numFmtId="14" fontId="3" fillId="0" borderId="1" xfId="0" applyNumberFormat="1" applyFont="1" applyBorder="1" applyAlignment="1" applyProtection="1">
      <alignment/>
      <protection locked="0"/>
    </xf>
    <xf numFmtId="14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6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3" sqref="B3"/>
    </sheetView>
  </sheetViews>
  <sheetFormatPr defaultColWidth="11.421875" defaultRowHeight="12.75"/>
  <cols>
    <col min="1" max="1" width="36.8515625" style="0" customWidth="1"/>
    <col min="2" max="2" width="14.28125" style="0" customWidth="1"/>
    <col min="3" max="3" width="34.140625" style="0" customWidth="1"/>
    <col min="4" max="4" width="15.28125" style="0" customWidth="1"/>
  </cols>
  <sheetData>
    <row r="1" ht="12.75">
      <c r="B1" s="42" t="s">
        <v>0</v>
      </c>
    </row>
    <row r="3" spans="1:2" ht="12.75">
      <c r="A3" s="3" t="s">
        <v>1</v>
      </c>
      <c r="B3" s="12" t="s">
        <v>2</v>
      </c>
    </row>
    <row r="4" spans="1:2" ht="12.75">
      <c r="A4" s="3" t="s">
        <v>3</v>
      </c>
      <c r="B4" s="12" t="s">
        <v>4</v>
      </c>
    </row>
    <row r="5" spans="1:2" ht="12.75">
      <c r="A5" s="3" t="s">
        <v>5</v>
      </c>
      <c r="B5" s="13">
        <v>2000</v>
      </c>
    </row>
    <row r="6" spans="1:3" ht="12.75">
      <c r="A6" s="3" t="s">
        <v>6</v>
      </c>
      <c r="B6" s="12"/>
      <c r="C6" s="11">
        <f>IF(B6=0,"",IF(B6=1,"trimestre","trimestres"))</f>
      </c>
    </row>
    <row r="7" spans="1:6" ht="12.75">
      <c r="A7" s="3" t="s">
        <v>7</v>
      </c>
      <c r="B7" s="14">
        <v>19589</v>
      </c>
      <c r="C7" s="5" t="s">
        <v>8</v>
      </c>
      <c r="E7" s="1"/>
      <c r="F7" s="1"/>
    </row>
    <row r="8" spans="1:6" ht="12.75">
      <c r="A8" s="3" t="s">
        <v>9</v>
      </c>
      <c r="B8" s="15">
        <v>28171</v>
      </c>
      <c r="C8" s="5" t="s">
        <v>8</v>
      </c>
      <c r="F8" s="1"/>
    </row>
    <row r="9" spans="1:6" ht="12.75">
      <c r="A9" s="3" t="s">
        <v>10</v>
      </c>
      <c r="B9" s="13">
        <v>2</v>
      </c>
      <c r="C9" s="3"/>
      <c r="E9" s="1"/>
      <c r="F9" s="1"/>
    </row>
    <row r="10" spans="1:6" ht="25.5">
      <c r="A10" s="44" t="s">
        <v>11</v>
      </c>
      <c r="B10" s="13"/>
      <c r="C10" s="11" t="s">
        <v>12</v>
      </c>
      <c r="E10" s="1"/>
      <c r="F10" s="1"/>
    </row>
    <row r="11" spans="1:6" ht="12.75">
      <c r="A11" s="3" t="s">
        <v>13</v>
      </c>
      <c r="B11" s="15" t="s">
        <v>14</v>
      </c>
      <c r="C11" s="5" t="s">
        <v>15</v>
      </c>
      <c r="D11" s="4">
        <f>IF(B11="M","","e")</f>
      </c>
      <c r="F11" s="1"/>
    </row>
    <row r="12" spans="1:6" ht="12.75">
      <c r="A12" s="3" t="s">
        <v>16</v>
      </c>
      <c r="B12" s="41"/>
      <c r="C12" s="5"/>
      <c r="F12" s="1"/>
    </row>
    <row r="13" spans="1:6" ht="12.75">
      <c r="A13" s="7" t="s">
        <v>17</v>
      </c>
      <c r="B13" s="16"/>
      <c r="C13" s="11">
        <f>IF(B13=0,"","mois")</f>
      </c>
      <c r="D13" s="8">
        <f>B13*0.5</f>
        <v>0</v>
      </c>
      <c r="F13" s="1"/>
    </row>
    <row r="14" spans="1:6" ht="12.75">
      <c r="A14" s="3" t="s">
        <v>18</v>
      </c>
      <c r="B14" s="16"/>
      <c r="C14" s="11">
        <f>IF(B14=0,"","mois")</f>
      </c>
      <c r="D14" s="8">
        <f>B14*0.4</f>
        <v>0</v>
      </c>
      <c r="F14" s="1"/>
    </row>
    <row r="15" spans="1:6" ht="12.75">
      <c r="A15" s="3" t="s">
        <v>19</v>
      </c>
      <c r="B15" s="16"/>
      <c r="C15" s="11">
        <f>IF(B15=0,"","mois")</f>
      </c>
      <c r="D15" s="8">
        <f>B15*0.3</f>
        <v>0</v>
      </c>
      <c r="F15" s="1"/>
    </row>
    <row r="16" spans="1:6" ht="12.75">
      <c r="A16" s="3" t="s">
        <v>20</v>
      </c>
      <c r="B16" s="16">
        <v>12</v>
      </c>
      <c r="C16" s="11" t="str">
        <f>IF(B16=0,"","mois")</f>
        <v>mois</v>
      </c>
      <c r="D16" s="8">
        <f>B16*0.2</f>
        <v>2.4000000000000004</v>
      </c>
      <c r="F16" s="1"/>
    </row>
    <row r="17" spans="1:6" ht="12.75">
      <c r="A17" s="3" t="s">
        <v>21</v>
      </c>
      <c r="B17" s="16"/>
      <c r="C17" s="11">
        <f>IF(B17=0,"","mois")</f>
      </c>
      <c r="D17" s="8">
        <f>B17*0.1</f>
        <v>0</v>
      </c>
      <c r="F17" s="1"/>
    </row>
    <row r="18" spans="1:6" ht="12.75">
      <c r="A18" s="3" t="s">
        <v>22</v>
      </c>
      <c r="B18" s="16"/>
      <c r="C18" s="11" t="str">
        <f>IF(Temps_partiel=0,"","&lt;= Maxi "&amp;Temps_partiel&amp;" mois de temps partiel")</f>
        <v>&lt;= Maxi 0,6 mois de temps partiel</v>
      </c>
      <c r="D18" s="8">
        <f>B18</f>
        <v>0</v>
      </c>
      <c r="F18" s="1"/>
    </row>
    <row r="19" spans="1:4" ht="12.75">
      <c r="A19" s="3" t="s">
        <v>23</v>
      </c>
      <c r="B19" s="16">
        <v>2</v>
      </c>
      <c r="C19" s="3" t="s">
        <v>24</v>
      </c>
      <c r="D19" s="9">
        <f>SUM(D13:D17)/4-D18</f>
        <v>0.6000000000000001</v>
      </c>
    </row>
    <row r="20" spans="1:4" ht="12.75">
      <c r="A20" s="4"/>
      <c r="B20" s="3"/>
      <c r="C20" s="3"/>
      <c r="D20" s="9"/>
    </row>
    <row r="21" spans="1:4" ht="12.75">
      <c r="A21" s="3" t="s">
        <v>25</v>
      </c>
      <c r="B21" s="6">
        <f>B7+21914</f>
        <v>41503</v>
      </c>
      <c r="C21" s="35" t="s">
        <v>26</v>
      </c>
      <c r="D21" s="34">
        <f>B21-B8</f>
        <v>13332</v>
      </c>
    </row>
    <row r="22" spans="1:3" ht="12.75">
      <c r="A22" s="3" t="s">
        <v>27</v>
      </c>
      <c r="B22" s="10">
        <f>MONTH(Départ_retraite)/3+(YEAR(Départ_retraite)-1900+IF(Sexe="F",Nombre_d_enfants,0))*4+Durée_service_militaire-Temps_partiel+Congé_dispo/12</f>
        <v>145.73333333333335</v>
      </c>
      <c r="C22" s="4"/>
    </row>
    <row r="23" spans="1:3" ht="12.75">
      <c r="A23" s="3" t="s">
        <v>28</v>
      </c>
      <c r="B23" s="10">
        <f>IF(B22&gt;160,160,B22)</f>
        <v>145.73333333333335</v>
      </c>
      <c r="C23" s="5" t="s">
        <v>29</v>
      </c>
    </row>
    <row r="24" spans="1:3" ht="12.75">
      <c r="A24" s="4"/>
      <c r="B24" s="4"/>
      <c r="C24" s="4"/>
    </row>
    <row r="25" spans="1:3" ht="12.75">
      <c r="A25" s="3" t="s">
        <v>30</v>
      </c>
      <c r="B25" s="47">
        <f>B5*B23*0.5/100</f>
        <v>1457.3333333333335</v>
      </c>
      <c r="C25" s="11" t="s">
        <v>49</v>
      </c>
    </row>
    <row r="27" spans="1:2" ht="12.75">
      <c r="A27" s="3" t="s">
        <v>31</v>
      </c>
      <c r="B27" s="10">
        <f>MONTH(Départ_retraite)/3+(YEAR(Départ_retraite)-1900+IF(Sexe="F",Nombre_d_enfants,0))*4+Durée_service_militaire</f>
        <v>146.33333333333334</v>
      </c>
    </row>
    <row r="28" spans="1:2" ht="12.75">
      <c r="A28" s="3" t="s">
        <v>32</v>
      </c>
      <c r="B28" s="10">
        <f>B27-Temps_partiel</f>
        <v>145.73333333333335</v>
      </c>
    </row>
    <row r="29" spans="1:2" ht="12.75">
      <c r="A29" s="3" t="s">
        <v>33</v>
      </c>
      <c r="B29" s="10">
        <f>B5*B28*VLOOKUP(YEAR(B21),Table!A2:D7,3)/100</f>
        <v>1366.25</v>
      </c>
    </row>
    <row r="30" spans="1:3" ht="12.75">
      <c r="A30" s="3" t="s">
        <v>34</v>
      </c>
      <c r="B30" s="4">
        <f>IF(YEAR(Date_départ_retraite)&lt;2006,0,IF(YEAR(Date_départ_retraite)&gt;2020,25,VLOOKUP(YEAR(Date_départ_retraite),Table!A18:E32,2)))</f>
        <v>1</v>
      </c>
      <c r="C30" s="4" t="s">
        <v>35</v>
      </c>
    </row>
    <row r="31" spans="1:4" ht="12.75">
      <c r="A31" s="3" t="s">
        <v>36</v>
      </c>
      <c r="B31" s="10">
        <f>160-B27</f>
        <v>13.666666666666657</v>
      </c>
      <c r="C31" s="4" t="str">
        <f>"trimestre"&amp;IF(B31&gt;1.99,"s","")</f>
        <v>trimestres</v>
      </c>
      <c r="D31" s="40"/>
    </row>
    <row r="32" spans="1:4" ht="12.75">
      <c r="A32" s="3" t="s">
        <v>37</v>
      </c>
      <c r="B32" s="4">
        <f>IF(YEAR(Date_départ_retraite)&lt;2006,0,IF(YEAR(Date_départ_retraite)&gt;2020,25,VLOOKUP(YEAR(Date_départ_retraite),Table!A18:E32,4)))</f>
        <v>13</v>
      </c>
      <c r="C32" s="4" t="str">
        <f>"trimestre"&amp;IF(B32&gt;1.99,"s","")</f>
        <v>trimestres</v>
      </c>
      <c r="D32" s="40"/>
    </row>
    <row r="33" spans="1:3" ht="12.75">
      <c r="A33" s="3" t="s">
        <v>38</v>
      </c>
      <c r="B33" s="46">
        <f>IF(B31&gt;B32,B32,B31)</f>
        <v>13</v>
      </c>
      <c r="C33" s="4" t="str">
        <f>"trimestre"&amp;IF(B33&gt;1.99,"s","")</f>
        <v>trimestres</v>
      </c>
    </row>
    <row r="34" spans="1:3" ht="12.75">
      <c r="A34" s="3" t="s">
        <v>39</v>
      </c>
      <c r="B34" s="10">
        <f>B33*B30</f>
        <v>13</v>
      </c>
      <c r="C34" s="4" t="s">
        <v>40</v>
      </c>
    </row>
    <row r="35" spans="1:3" ht="12.75">
      <c r="A35" s="3" t="s">
        <v>41</v>
      </c>
      <c r="B35" s="10">
        <f>B34-B19*3</f>
        <v>7</v>
      </c>
      <c r="C35" s="4" t="s">
        <v>40</v>
      </c>
    </row>
    <row r="37" spans="1:3" ht="12.75">
      <c r="A37" s="3" t="s">
        <v>42</v>
      </c>
      <c r="B37" s="47">
        <f>B29-B29*B35/100</f>
        <v>1270.6125</v>
      </c>
      <c r="C37" s="48" t="s">
        <v>50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8" sqref="B8"/>
    </sheetView>
  </sheetViews>
  <sheetFormatPr defaultColWidth="11.421875" defaultRowHeight="12.75"/>
  <cols>
    <col min="1" max="3" width="13.421875" style="0" customWidth="1"/>
    <col min="4" max="5" width="13.28125" style="0" customWidth="1"/>
  </cols>
  <sheetData>
    <row r="1" spans="1:4" ht="14.25" thickBot="1" thickTop="1">
      <c r="A1" s="18" t="s">
        <v>43</v>
      </c>
      <c r="B1" s="19"/>
      <c r="C1" s="36"/>
      <c r="D1" s="20"/>
    </row>
    <row r="2" spans="1:4" ht="13.5" thickTop="1">
      <c r="A2" s="29">
        <v>2003</v>
      </c>
      <c r="B2" s="21">
        <v>150</v>
      </c>
      <c r="C2" s="37">
        <f aca="true" t="shared" si="0" ref="C2:C7">150/B2/2</f>
        <v>0.5</v>
      </c>
      <c r="D2" s="22">
        <f aca="true" t="shared" si="1" ref="D2:D7">150/B2*2</f>
        <v>2</v>
      </c>
    </row>
    <row r="3" spans="1:4" ht="12.75">
      <c r="A3" s="30">
        <f>A2+1</f>
        <v>2004</v>
      </c>
      <c r="B3" s="17">
        <f>B2+2</f>
        <v>152</v>
      </c>
      <c r="C3" s="38">
        <f t="shared" si="0"/>
        <v>0.4934210526315789</v>
      </c>
      <c r="D3" s="23">
        <f t="shared" si="1"/>
        <v>1.9736842105263157</v>
      </c>
    </row>
    <row r="4" spans="1:4" ht="12.75">
      <c r="A4" s="30">
        <f aca="true" t="shared" si="2" ref="A4:A15">A3+1</f>
        <v>2005</v>
      </c>
      <c r="B4" s="17">
        <f>B3+2</f>
        <v>154</v>
      </c>
      <c r="C4" s="38">
        <f t="shared" si="0"/>
        <v>0.487012987012987</v>
      </c>
      <c r="D4" s="23">
        <f t="shared" si="1"/>
        <v>1.948051948051948</v>
      </c>
    </row>
    <row r="5" spans="1:4" ht="12.75">
      <c r="A5" s="30">
        <f t="shared" si="2"/>
        <v>2006</v>
      </c>
      <c r="B5" s="17">
        <f>B4+2</f>
        <v>156</v>
      </c>
      <c r="C5" s="38">
        <f t="shared" si="0"/>
        <v>0.4807692307692308</v>
      </c>
      <c r="D5" s="23">
        <f t="shared" si="1"/>
        <v>1.9230769230769231</v>
      </c>
    </row>
    <row r="6" spans="1:4" ht="12.75">
      <c r="A6" s="30">
        <f t="shared" si="2"/>
        <v>2007</v>
      </c>
      <c r="B6" s="17">
        <f>B5+2</f>
        <v>158</v>
      </c>
      <c r="C6" s="38">
        <f t="shared" si="0"/>
        <v>0.47468354430379744</v>
      </c>
      <c r="D6" s="23">
        <f t="shared" si="1"/>
        <v>1.8987341772151898</v>
      </c>
    </row>
    <row r="7" spans="1:4" ht="13.5" thickBot="1">
      <c r="A7" s="31">
        <f t="shared" si="2"/>
        <v>2008</v>
      </c>
      <c r="B7" s="24">
        <f>B6+2</f>
        <v>160</v>
      </c>
      <c r="C7" s="39">
        <f t="shared" si="0"/>
        <v>0.46875</v>
      </c>
      <c r="D7" s="25">
        <f t="shared" si="1"/>
        <v>1.875</v>
      </c>
    </row>
    <row r="8" spans="1:3" ht="13.5" thickTop="1">
      <c r="A8" s="33">
        <f t="shared" si="2"/>
        <v>2009</v>
      </c>
      <c r="B8" s="32"/>
      <c r="C8" s="32"/>
    </row>
    <row r="9" spans="1:3" ht="12.75">
      <c r="A9" s="33">
        <f t="shared" si="2"/>
        <v>2010</v>
      </c>
      <c r="B9" s="32"/>
      <c r="C9" s="32"/>
    </row>
    <row r="10" spans="1:3" ht="12.75">
      <c r="A10" s="33">
        <f t="shared" si="2"/>
        <v>2011</v>
      </c>
      <c r="B10" s="32"/>
      <c r="C10" s="32"/>
    </row>
    <row r="11" spans="1:3" ht="12.75">
      <c r="A11" s="33">
        <f t="shared" si="2"/>
        <v>2012</v>
      </c>
      <c r="B11" s="32"/>
      <c r="C11" s="32"/>
    </row>
    <row r="12" spans="1:3" ht="12.75">
      <c r="A12" s="33">
        <f t="shared" si="2"/>
        <v>2013</v>
      </c>
      <c r="B12" s="32"/>
      <c r="C12" s="32"/>
    </row>
    <row r="13" spans="1:3" ht="12.75">
      <c r="A13" s="33">
        <f t="shared" si="2"/>
        <v>2014</v>
      </c>
      <c r="B13" s="32"/>
      <c r="C13" s="32"/>
    </row>
    <row r="14" spans="1:3" ht="12.75">
      <c r="A14" s="33">
        <f t="shared" si="2"/>
        <v>2015</v>
      </c>
      <c r="B14" s="32"/>
      <c r="C14" s="32"/>
    </row>
    <row r="15" spans="1:3" ht="12.75">
      <c r="A15" s="33">
        <f t="shared" si="2"/>
        <v>2016</v>
      </c>
      <c r="B15" s="32"/>
      <c r="C15" s="32"/>
    </row>
    <row r="16" ht="13.5" thickBot="1"/>
    <row r="17" spans="1:5" ht="14.25" thickBot="1" thickTop="1">
      <c r="A17" s="26" t="s">
        <v>44</v>
      </c>
      <c r="B17" s="27" t="s">
        <v>45</v>
      </c>
      <c r="C17" s="27" t="s">
        <v>46</v>
      </c>
      <c r="D17" s="27" t="s">
        <v>47</v>
      </c>
      <c r="E17" s="28" t="s">
        <v>48</v>
      </c>
    </row>
    <row r="18" spans="1:5" ht="13.5" thickTop="1">
      <c r="A18" s="29">
        <v>2006</v>
      </c>
      <c r="B18" s="21">
        <v>0.125</v>
      </c>
      <c r="C18" s="21">
        <v>16</v>
      </c>
      <c r="D18" s="21">
        <f>20-C18</f>
        <v>4</v>
      </c>
      <c r="E18" s="22">
        <f>B18*D18</f>
        <v>0.5</v>
      </c>
    </row>
    <row r="19" spans="1:5" ht="12.75">
      <c r="A19" s="30">
        <f>A18+1</f>
        <v>2007</v>
      </c>
      <c r="B19" s="17">
        <f>0.125+B18</f>
        <v>0.25</v>
      </c>
      <c r="C19" s="17">
        <v>14</v>
      </c>
      <c r="D19" s="17">
        <f aca="true" t="shared" si="3" ref="D19:D32">20-C19</f>
        <v>6</v>
      </c>
      <c r="E19" s="23">
        <f aca="true" t="shared" si="4" ref="E19:E32">B19*D19</f>
        <v>1.5</v>
      </c>
    </row>
    <row r="20" spans="1:5" ht="12.75">
      <c r="A20" s="30">
        <f aca="true" t="shared" si="5" ref="A20:A32">A19+1</f>
        <v>2008</v>
      </c>
      <c r="B20" s="17">
        <f aca="true" t="shared" si="6" ref="B20:B27">0.125+B19</f>
        <v>0.375</v>
      </c>
      <c r="C20" s="17">
        <v>12</v>
      </c>
      <c r="D20" s="17">
        <f t="shared" si="3"/>
        <v>8</v>
      </c>
      <c r="E20" s="23">
        <f t="shared" si="4"/>
        <v>3</v>
      </c>
    </row>
    <row r="21" spans="1:5" ht="12.75">
      <c r="A21" s="30">
        <f t="shared" si="5"/>
        <v>2009</v>
      </c>
      <c r="B21" s="17">
        <f t="shared" si="6"/>
        <v>0.5</v>
      </c>
      <c r="C21" s="17">
        <f>C20-1</f>
        <v>11</v>
      </c>
      <c r="D21" s="17">
        <f t="shared" si="3"/>
        <v>9</v>
      </c>
      <c r="E21" s="23">
        <f t="shared" si="4"/>
        <v>4.5</v>
      </c>
    </row>
    <row r="22" spans="1:5" ht="12.75">
      <c r="A22" s="30">
        <f t="shared" si="5"/>
        <v>2010</v>
      </c>
      <c r="B22" s="17">
        <f t="shared" si="6"/>
        <v>0.625</v>
      </c>
      <c r="C22" s="17">
        <f aca="true" t="shared" si="7" ref="C22:C32">C21-1</f>
        <v>10</v>
      </c>
      <c r="D22" s="17">
        <f t="shared" si="3"/>
        <v>10</v>
      </c>
      <c r="E22" s="23">
        <f t="shared" si="4"/>
        <v>6.25</v>
      </c>
    </row>
    <row r="23" spans="1:5" ht="12.75">
      <c r="A23" s="30">
        <f t="shared" si="5"/>
        <v>2011</v>
      </c>
      <c r="B23" s="17">
        <f t="shared" si="6"/>
        <v>0.75</v>
      </c>
      <c r="C23" s="17">
        <f t="shared" si="7"/>
        <v>9</v>
      </c>
      <c r="D23" s="17">
        <f t="shared" si="3"/>
        <v>11</v>
      </c>
      <c r="E23" s="23">
        <f t="shared" si="4"/>
        <v>8.25</v>
      </c>
    </row>
    <row r="24" spans="1:5" ht="12.75">
      <c r="A24" s="30">
        <f t="shared" si="5"/>
        <v>2012</v>
      </c>
      <c r="B24" s="17">
        <f t="shared" si="6"/>
        <v>0.875</v>
      </c>
      <c r="C24" s="17">
        <f t="shared" si="7"/>
        <v>8</v>
      </c>
      <c r="D24" s="17">
        <f t="shared" si="3"/>
        <v>12</v>
      </c>
      <c r="E24" s="23">
        <f t="shared" si="4"/>
        <v>10.5</v>
      </c>
    </row>
    <row r="25" spans="1:5" ht="12.75">
      <c r="A25" s="30">
        <f t="shared" si="5"/>
        <v>2013</v>
      </c>
      <c r="B25" s="17">
        <f t="shared" si="6"/>
        <v>1</v>
      </c>
      <c r="C25" s="17">
        <f t="shared" si="7"/>
        <v>7</v>
      </c>
      <c r="D25" s="17">
        <f t="shared" si="3"/>
        <v>13</v>
      </c>
      <c r="E25" s="23">
        <f t="shared" si="4"/>
        <v>13</v>
      </c>
    </row>
    <row r="26" spans="1:5" ht="12.75">
      <c r="A26" s="30">
        <f t="shared" si="5"/>
        <v>2014</v>
      </c>
      <c r="B26" s="17">
        <f t="shared" si="6"/>
        <v>1.125</v>
      </c>
      <c r="C26" s="17">
        <f t="shared" si="7"/>
        <v>6</v>
      </c>
      <c r="D26" s="17">
        <f t="shared" si="3"/>
        <v>14</v>
      </c>
      <c r="E26" s="23">
        <f t="shared" si="4"/>
        <v>15.75</v>
      </c>
    </row>
    <row r="27" spans="1:5" ht="12.75">
      <c r="A27" s="30">
        <f t="shared" si="5"/>
        <v>2015</v>
      </c>
      <c r="B27" s="17">
        <f t="shared" si="6"/>
        <v>1.25</v>
      </c>
      <c r="C27" s="17">
        <f t="shared" si="7"/>
        <v>5</v>
      </c>
      <c r="D27" s="17">
        <f t="shared" si="3"/>
        <v>15</v>
      </c>
      <c r="E27" s="23">
        <f t="shared" si="4"/>
        <v>18.75</v>
      </c>
    </row>
    <row r="28" spans="1:5" ht="12.75">
      <c r="A28" s="30">
        <f t="shared" si="5"/>
        <v>2016</v>
      </c>
      <c r="B28" s="17">
        <f>B27</f>
        <v>1.25</v>
      </c>
      <c r="C28" s="17">
        <f t="shared" si="7"/>
        <v>4</v>
      </c>
      <c r="D28" s="17">
        <f t="shared" si="3"/>
        <v>16</v>
      </c>
      <c r="E28" s="23">
        <f t="shared" si="4"/>
        <v>20</v>
      </c>
    </row>
    <row r="29" spans="1:5" ht="12.75">
      <c r="A29" s="30">
        <f t="shared" si="5"/>
        <v>2017</v>
      </c>
      <c r="B29" s="17">
        <f>B28</f>
        <v>1.25</v>
      </c>
      <c r="C29" s="17">
        <f t="shared" si="7"/>
        <v>3</v>
      </c>
      <c r="D29" s="17">
        <f t="shared" si="3"/>
        <v>17</v>
      </c>
      <c r="E29" s="23">
        <f t="shared" si="4"/>
        <v>21.25</v>
      </c>
    </row>
    <row r="30" spans="1:5" ht="12.75">
      <c r="A30" s="30">
        <f t="shared" si="5"/>
        <v>2018</v>
      </c>
      <c r="B30" s="17">
        <f>B29</f>
        <v>1.25</v>
      </c>
      <c r="C30" s="17">
        <f t="shared" si="7"/>
        <v>2</v>
      </c>
      <c r="D30" s="17">
        <f t="shared" si="3"/>
        <v>18</v>
      </c>
      <c r="E30" s="23">
        <f t="shared" si="4"/>
        <v>22.5</v>
      </c>
    </row>
    <row r="31" spans="1:5" ht="12.75">
      <c r="A31" s="30">
        <f t="shared" si="5"/>
        <v>2019</v>
      </c>
      <c r="B31" s="17">
        <f>B30</f>
        <v>1.25</v>
      </c>
      <c r="C31" s="17">
        <f t="shared" si="7"/>
        <v>1</v>
      </c>
      <c r="D31" s="17">
        <f t="shared" si="3"/>
        <v>19</v>
      </c>
      <c r="E31" s="23">
        <f t="shared" si="4"/>
        <v>23.75</v>
      </c>
    </row>
    <row r="32" spans="1:5" ht="13.5" thickBot="1">
      <c r="A32" s="31">
        <f t="shared" si="5"/>
        <v>2020</v>
      </c>
      <c r="B32" s="24">
        <f>B31</f>
        <v>1.25</v>
      </c>
      <c r="C32" s="24">
        <f t="shared" si="7"/>
        <v>0</v>
      </c>
      <c r="D32" s="24">
        <f t="shared" si="3"/>
        <v>20</v>
      </c>
      <c r="E32" s="25">
        <f t="shared" si="4"/>
        <v>25</v>
      </c>
    </row>
    <row r="33" ht="13.5" thickTop="1"/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11.421875" defaultRowHeight="12.75"/>
  <cols>
    <col min="1" max="1" width="85.28125" style="0" customWidth="1"/>
  </cols>
  <sheetData>
    <row r="1" ht="12.75">
      <c r="A1" s="42" t="str">
        <f>IF(Sexe="M","Monsieur","Madame")&amp;" "&amp;Prénom&amp;" "&amp;Nom&amp;", vous êtes entré"&amp;e&amp;" aux PTT le "&amp;TEXT(Début_activité,"j mmmm aaaa")&amp;","</f>
        <v>Monsieur Roky Vabien, vous êtes entré aux PTT le 15 février 1977,</v>
      </c>
    </row>
    <row r="2" ht="12.75">
      <c r="A2" s="42" t="str">
        <f>IF(Sexe="M","vous ne bénéficiez pas de point pour enfant,","vous gagnez 1 an par enfant soit "&amp;Nombre_d_enfants*4&amp;" trimestres,")</f>
        <v>vous ne bénéficiez pas de point pour enfant,</v>
      </c>
    </row>
    <row r="3" ht="12.75">
      <c r="A3" s="42" t="str">
        <f>IF(Temps_partiel=0,"pas de temps partiel à déduire,",Temps_partiel&amp;" trimestre(s) de temps partiel compté(s) dans les annuités, déduit(s) pour la liquidation,")</f>
        <v>0,6 trimestre(s) de temps partiel compté(s) dans les annuités, déduit(s) pour la liquidation,</v>
      </c>
    </row>
    <row r="4" ht="12.75">
      <c r="A4" s="42" t="str">
        <f>"le montant de votre retraite sera de "&amp;TEXT(Montant_retraite_avant,"# ##0,00€")&amp;" à vos 60 ans le "&amp;TEXT(Date_départ_retraite,"j mmmm aaaa")&amp;"."</f>
        <v>le montant de votre retraite sera de 1 457,33€ à vos 60 ans le 17 août 2013.</v>
      </c>
    </row>
    <row r="5" ht="12.75">
      <c r="A5" s="42" t="str">
        <f>"Avec la réforme, elle sera de "&amp;TEXT(Montant_retraite_nouvelle_formule,"# ##0,00€")&amp;" par mois."</f>
        <v>Avec la réforme, elle sera de 1 270,61€ par mois.</v>
      </c>
    </row>
    <row r="6" ht="12.75">
      <c r="A6" s="2"/>
    </row>
    <row r="7" ht="23.25">
      <c r="A7" s="43" t="str">
        <f>IF(Montant_retraite_avant&gt;Montant_retraite_nouvelle_formule,"Vous perdrez "&amp;TEXT(Montant_retraite_avant-Montant_retraite_nouvelle_formule,"0,00€")&amp;" avec la réforme","Vous gagnerez "&amp;TEXT(Montant_retraite_nouvelle_formule-Montant_retraite_avant,"0,00")&amp;" €"&amp;" avec la réforme")</f>
        <v>Vous perdrez 186,72€ avec la réforme</v>
      </c>
    </row>
    <row r="8" ht="12.75">
      <c r="A8" s="45" t="str">
        <f>"soit "&amp;TEXT(ABS((Montant_retraite_avant-Montant_retraite_nouvelle_formule)*6.55957),"0,00F")</f>
        <v>soit 1224,81F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Ervin Bokay</dc:creator>
  <cp:keywords/>
  <dc:description/>
  <cp:lastModifiedBy>XXXX</cp:lastModifiedBy>
  <dcterms:created xsi:type="dcterms:W3CDTF">2003-06-07T16:32:06Z</dcterms:created>
  <dcterms:modified xsi:type="dcterms:W3CDTF">2003-06-26T05:37:13Z</dcterms:modified>
  <cp:category/>
  <cp:version/>
  <cp:contentType/>
  <cp:contentStatus/>
</cp:coreProperties>
</file>